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dmin\Asst Director\FY17\Library Budget FY17\"/>
    </mc:Choice>
  </mc:AlternateContent>
  <bookViews>
    <workbookView xWindow="0" yWindow="0" windowWidth="11235" windowHeight="6420"/>
  </bookViews>
  <sheets>
    <sheet name="FY14-FY16" sheetId="3" r:id="rId1"/>
  </sheets>
  <calcPr calcId="152511"/>
</workbook>
</file>

<file path=xl/calcChain.xml><?xml version="1.0" encoding="utf-8"?>
<calcChain xmlns="http://schemas.openxmlformats.org/spreadsheetml/2006/main">
  <c r="G27" i="3" l="1"/>
  <c r="E27" i="3"/>
  <c r="C27" i="3"/>
  <c r="E22" i="3"/>
  <c r="E21" i="3"/>
  <c r="E20" i="3"/>
  <c r="E19" i="3"/>
  <c r="E16" i="3"/>
  <c r="E15" i="3"/>
  <c r="E6" i="3"/>
  <c r="E5" i="3"/>
  <c r="C22" i="3"/>
  <c r="C21" i="3"/>
  <c r="C20" i="3"/>
  <c r="C16" i="3"/>
  <c r="C15" i="3"/>
  <c r="C12" i="3"/>
  <c r="C6" i="3"/>
  <c r="C5" i="3"/>
  <c r="C23" i="3"/>
  <c r="C13" i="3"/>
  <c r="G21" i="3"/>
  <c r="G14" i="3"/>
  <c r="G23" i="3"/>
  <c r="E23" i="3"/>
  <c r="G22" i="3"/>
  <c r="G12" i="3"/>
  <c r="C18" i="3"/>
  <c r="G20" i="3"/>
  <c r="G16" i="3"/>
  <c r="G15" i="3"/>
  <c r="E14" i="3"/>
  <c r="C14" i="3"/>
  <c r="E13" i="3"/>
  <c r="G18" i="3"/>
  <c r="E18" i="3"/>
  <c r="G6" i="3"/>
  <c r="G5" i="3"/>
  <c r="D11" i="3" l="1"/>
  <c r="C28" i="3" l="1"/>
  <c r="E28" i="3"/>
  <c r="G28" i="3"/>
  <c r="H11" i="3" l="1"/>
  <c r="F11" i="3" l="1"/>
  <c r="F25" i="3" l="1"/>
  <c r="D25" i="3"/>
  <c r="H25" i="3" l="1"/>
  <c r="I11" i="3"/>
  <c r="H8" i="3"/>
  <c r="F8" i="3"/>
  <c r="D8" i="3"/>
  <c r="H4" i="3"/>
  <c r="F4" i="3"/>
  <c r="D4" i="3"/>
  <c r="I4" i="3" l="1"/>
  <c r="I25" i="3"/>
  <c r="I8" i="3"/>
  <c r="D30" i="3"/>
  <c r="H30" i="3"/>
  <c r="F30" i="3"/>
  <c r="I30" i="3" l="1"/>
</calcChain>
</file>

<file path=xl/sharedStrings.xml><?xml version="1.0" encoding="utf-8"?>
<sst xmlns="http://schemas.openxmlformats.org/spreadsheetml/2006/main" count="68" uniqueCount="68">
  <si>
    <t>Equipment and Other Expenses:</t>
  </si>
  <si>
    <t>TOTAL OPERATIONS BUDGET:</t>
  </si>
  <si>
    <t>Library Systems (Online Databases) MU Share</t>
  </si>
  <si>
    <t>FY14</t>
  </si>
  <si>
    <t>Library Systems (Operations)</t>
  </si>
  <si>
    <t>FY15</t>
  </si>
  <si>
    <t>FY14-16 Change</t>
  </si>
  <si>
    <t>Excludes</t>
  </si>
  <si>
    <t>Includes</t>
  </si>
  <si>
    <t>C4310060 - Library Fines</t>
  </si>
  <si>
    <t>C1410036 - MU Libraries ITF</t>
  </si>
  <si>
    <t>C1410035 - MERLIN Consortium Databases</t>
  </si>
  <si>
    <t>C1410034 - SLU &amp; WU DATABASES</t>
  </si>
  <si>
    <t>C1410033 - UMSL &amp; MST DATABASES</t>
  </si>
  <si>
    <t>C1410032 (48% ONLY of GRA) - UM Library Databases</t>
  </si>
  <si>
    <t>FY16</t>
  </si>
  <si>
    <t>C1410031 - MOBIUS Assessments</t>
  </si>
  <si>
    <t>C1410030 - Library System Operations</t>
  </si>
  <si>
    <t>C1410028 - Libraries 52 (Ridenhour Library Endowment)</t>
  </si>
  <si>
    <t>C1410026 - Libraries Development</t>
  </si>
  <si>
    <t>C1410023 - MU Libraries Insurance Reserve</t>
  </si>
  <si>
    <t>C1410020 - Grants Libraries 32</t>
  </si>
  <si>
    <t>C1410017 - Library 4100 (Gifts)</t>
  </si>
  <si>
    <t>C1410016 - Library 8100 (Stuckey Library Award)</t>
  </si>
  <si>
    <t>C1410015 - Special Events-Lib</t>
  </si>
  <si>
    <t>C1410014 - Library Copy Service</t>
  </si>
  <si>
    <t>C1410013 - ILL/UMI DISS Recharge</t>
  </si>
  <si>
    <t>C1410012 - Litquest Recharge</t>
  </si>
  <si>
    <t>C1410011 - Libraries Depository</t>
  </si>
  <si>
    <t>UMLD</t>
  </si>
  <si>
    <t>UMLD &amp; Library Systems</t>
  </si>
  <si>
    <t>C1410008 - ILS (III) Equipment</t>
  </si>
  <si>
    <t>C1410006 - MU Libraries Contingency</t>
  </si>
  <si>
    <t>C1410003 - Library Acquisitions</t>
  </si>
  <si>
    <t xml:space="preserve">Equals C1410003 Total Expenditures </t>
  </si>
  <si>
    <t>Library Acquisitions</t>
  </si>
  <si>
    <t>C1410002 - Libraries</t>
  </si>
  <si>
    <t>C1410001 - RIF-Library</t>
  </si>
  <si>
    <t>Salaries &amp; Wages</t>
  </si>
  <si>
    <t>Benefit Expense</t>
  </si>
  <si>
    <t>Includes C1410011  Total Expenditures</t>
  </si>
  <si>
    <t>Includes C1410030 plus C1410031 Total Expenditures</t>
  </si>
  <si>
    <t>Includes C1410032 - 48% of GRA</t>
  </si>
  <si>
    <t>Compensation:</t>
  </si>
  <si>
    <t>Library Acquisitions:</t>
  </si>
  <si>
    <t>Business Meeting Expenses</t>
  </si>
  <si>
    <t>Includes C1410011, C1410031-C1410032</t>
  </si>
  <si>
    <t>Capital Expenditures &amp; Offsets</t>
  </si>
  <si>
    <t>Computing Expenses</t>
  </si>
  <si>
    <t>Daily Service &amp; NonCapital Maint &amp; Repairs</t>
  </si>
  <si>
    <t>Fuel and Utilities</t>
  </si>
  <si>
    <t>Internal Sales</t>
  </si>
  <si>
    <t>Library Capital Acquisitions</t>
  </si>
  <si>
    <t>Non Operating Expenses</t>
  </si>
  <si>
    <t>Noncapital Equipment</t>
  </si>
  <si>
    <t>Other Departmental Expenses</t>
  </si>
  <si>
    <t>Professional &amp; Consulting</t>
  </si>
  <si>
    <t>Travel &amp; Training</t>
  </si>
  <si>
    <t>C1410022 - Friends Sales</t>
  </si>
  <si>
    <t>C1410017 C4345 - Friends Lib Dev Fund</t>
  </si>
  <si>
    <t>Excludes C1410030-C1410032, and C1410011</t>
  </si>
  <si>
    <t>Excludes C1410003, C1410011, and C1410030-C1410032</t>
  </si>
  <si>
    <t>General Revenue Allocations, Library Gift/Endowment Funds, Grants, and UM System Funds. Excludes Agency Funds and Law Library.</t>
  </si>
  <si>
    <t>Operations Expenditures for MU Libraries</t>
  </si>
  <si>
    <t>C3090001 CC000440 - MU Libraries Renovations</t>
  </si>
  <si>
    <t>C1410025 Agency-Great West Library Alnc</t>
  </si>
  <si>
    <t>C1410019 Agency-Library Lock &amp; Key Dep</t>
  </si>
  <si>
    <t>Special Exclusion/Inclusion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</si>
</sst>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0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u val="double"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u val="double"/>
      <sz val="12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7" fillId="2" borderId="0" xfId="0" applyFont="1" applyFill="1"/>
    <xf numFmtId="164" fontId="4" fillId="2" borderId="0" xfId="1" applyNumberFormat="1" applyFont="1" applyFill="1"/>
    <xf numFmtId="0" fontId="0" fillId="0" borderId="1" xfId="0" applyBorder="1"/>
    <xf numFmtId="0" fontId="11" fillId="0" borderId="0" xfId="0" applyFont="1"/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164" fontId="5" fillId="2" borderId="0" xfId="1" applyNumberFormat="1" applyFont="1" applyFill="1"/>
    <xf numFmtId="0" fontId="0" fillId="0" borderId="0" xfId="0" applyBorder="1"/>
    <xf numFmtId="164" fontId="4" fillId="2" borderId="1" xfId="1" applyNumberFormat="1" applyFont="1" applyFill="1" applyBorder="1"/>
    <xf numFmtId="165" fontId="4" fillId="2" borderId="1" xfId="1" applyNumberFormat="1" applyFont="1" applyFill="1" applyBorder="1"/>
    <xf numFmtId="164" fontId="10" fillId="2" borderId="1" xfId="1" applyNumberFormat="1" applyFont="1" applyFill="1" applyBorder="1"/>
    <xf numFmtId="10" fontId="13" fillId="0" borderId="3" xfId="2" applyNumberFormat="1" applyFont="1" applyBorder="1"/>
    <xf numFmtId="5" fontId="3" fillId="0" borderId="4" xfId="0" applyNumberFormat="1" applyFont="1" applyBorder="1"/>
    <xf numFmtId="0" fontId="0" fillId="0" borderId="4" xfId="0" applyBorder="1"/>
    <xf numFmtId="5" fontId="0" fillId="0" borderId="4" xfId="0" applyNumberFormat="1" applyBorder="1"/>
    <xf numFmtId="164" fontId="4" fillId="2" borderId="0" xfId="1" applyNumberFormat="1" applyFont="1" applyFill="1" applyBorder="1"/>
    <xf numFmtId="164" fontId="6" fillId="0" borderId="1" xfId="1" applyNumberFormat="1" applyFont="1" applyFill="1" applyBorder="1"/>
    <xf numFmtId="0" fontId="8" fillId="0" borderId="0" xfId="0" applyFont="1" applyBorder="1"/>
    <xf numFmtId="0" fontId="8" fillId="0" borderId="0" xfId="0" applyFont="1" applyFill="1"/>
    <xf numFmtId="0" fontId="6" fillId="0" borderId="1" xfId="0" applyFont="1" applyBorder="1" applyAlignment="1">
      <alignment horizontal="center"/>
    </xf>
    <xf numFmtId="0" fontId="0" fillId="0" borderId="0" xfId="0" applyFill="1"/>
    <xf numFmtId="0" fontId="14" fillId="0" borderId="0" xfId="0" applyFont="1" applyFill="1"/>
    <xf numFmtId="0" fontId="16" fillId="0" borderId="1" xfId="0" applyFont="1" applyBorder="1" applyAlignment="1">
      <alignment horizontal="left" vertical="justify"/>
    </xf>
    <xf numFmtId="0" fontId="15" fillId="0" borderId="1" xfId="0" applyFont="1" applyBorder="1"/>
    <xf numFmtId="164" fontId="5" fillId="2" borderId="1" xfId="1" applyNumberFormat="1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15" fillId="0" borderId="0" xfId="0" applyFont="1" applyFill="1" applyBorder="1"/>
    <xf numFmtId="164" fontId="6" fillId="0" borderId="0" xfId="1" applyNumberFormat="1" applyFont="1" applyFill="1" applyBorder="1"/>
    <xf numFmtId="0" fontId="0" fillId="0" borderId="0" xfId="0" applyFill="1" applyAlignment="1">
      <alignment horizontal="left"/>
    </xf>
    <xf numFmtId="164" fontId="1" fillId="0" borderId="1" xfId="1" applyNumberFormat="1" applyFont="1" applyFill="1" applyBorder="1"/>
    <xf numFmtId="0" fontId="7" fillId="3" borderId="0" xfId="0" applyFont="1" applyFill="1"/>
    <xf numFmtId="164" fontId="4" fillId="3" borderId="1" xfId="1" applyNumberFormat="1" applyFont="1" applyFill="1" applyBorder="1"/>
    <xf numFmtId="164" fontId="4" fillId="3" borderId="0" xfId="1" applyNumberFormat="1" applyFont="1" applyFill="1"/>
    <xf numFmtId="164" fontId="1" fillId="0" borderId="0" xfId="1" applyNumberFormat="1" applyFont="1" applyFill="1" applyBorder="1"/>
    <xf numFmtId="164" fontId="9" fillId="0" borderId="0" xfId="1" quotePrefix="1" applyNumberFormat="1" applyFont="1" applyFill="1" applyBorder="1"/>
    <xf numFmtId="0" fontId="8" fillId="0" borderId="1" xfId="0" applyFont="1" applyFill="1" applyBorder="1" applyAlignment="1">
      <alignment horizontal="center"/>
    </xf>
    <xf numFmtId="0" fontId="0" fillId="0" borderId="2" xfId="0" applyFill="1" applyBorder="1"/>
    <xf numFmtId="49" fontId="9" fillId="0" borderId="0" xfId="1" applyNumberFormat="1" applyFont="1" applyFill="1"/>
    <xf numFmtId="0" fontId="18" fillId="0" borderId="0" xfId="0" applyFont="1" applyAlignment="1">
      <alignment horizontal="left" vertical="top"/>
    </xf>
    <xf numFmtId="0" fontId="16" fillId="0" borderId="0" xfId="0" applyFont="1" applyFill="1" applyAlignment="1">
      <alignment horizontal="left" vertical="center"/>
    </xf>
    <xf numFmtId="0" fontId="12" fillId="0" borderId="5" xfId="0" applyFont="1" applyFill="1" applyBorder="1" applyAlignment="1">
      <alignment horizontal="center" wrapText="1"/>
    </xf>
    <xf numFmtId="164" fontId="17" fillId="0" borderId="1" xfId="1" applyNumberFormat="1" applyFont="1" applyFill="1" applyBorder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9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="110" zoomScaleNormal="110" workbookViewId="0">
      <pane ySplit="3" topLeftCell="A31" activePane="bottomLeft" state="frozen"/>
      <selection pane="bottomLeft" activeCell="K3" sqref="K3"/>
    </sheetView>
  </sheetViews>
  <sheetFormatPr defaultRowHeight="12.75" x14ac:dyDescent="0.2"/>
  <cols>
    <col min="1" max="1" width="5" customWidth="1"/>
    <col min="2" max="2" width="47.28515625" customWidth="1"/>
    <col min="3" max="3" width="11.5703125" bestFit="1" customWidth="1"/>
    <col min="4" max="4" width="20.28515625" bestFit="1" customWidth="1"/>
    <col min="5" max="5" width="11.5703125" bestFit="1" customWidth="1"/>
    <col min="6" max="6" width="20.28515625" bestFit="1" customWidth="1"/>
    <col min="7" max="7" width="12.5703125" bestFit="1" customWidth="1"/>
    <col min="8" max="8" width="20.28515625" bestFit="1" customWidth="1"/>
    <col min="9" max="9" width="8.28515625" customWidth="1"/>
    <col min="11" max="11" width="51.5703125" bestFit="1" customWidth="1"/>
    <col min="12" max="12" width="19.85546875" bestFit="1" customWidth="1"/>
  </cols>
  <sheetData>
    <row r="1" spans="1:11" ht="20.25" x14ac:dyDescent="0.3">
      <c r="A1" s="7" t="s">
        <v>63</v>
      </c>
      <c r="B1" s="1"/>
      <c r="C1" s="1"/>
      <c r="D1" s="1"/>
    </row>
    <row r="2" spans="1:11" x14ac:dyDescent="0.2">
      <c r="A2" s="11"/>
      <c r="B2" t="s">
        <v>62</v>
      </c>
      <c r="I2" s="11"/>
    </row>
    <row r="3" spans="1:11" ht="21.75" customHeight="1" x14ac:dyDescent="0.2">
      <c r="B3" s="43"/>
      <c r="C3" s="6"/>
      <c r="D3" s="44" t="s">
        <v>3</v>
      </c>
      <c r="E3" s="23"/>
      <c r="F3" s="44" t="s">
        <v>5</v>
      </c>
      <c r="G3" s="26"/>
      <c r="H3" s="47" t="s">
        <v>15</v>
      </c>
      <c r="I3" s="45" t="s">
        <v>6</v>
      </c>
      <c r="K3" s="48" t="s">
        <v>67</v>
      </c>
    </row>
    <row r="4" spans="1:11" ht="15.75" x14ac:dyDescent="0.25">
      <c r="A4" s="4" t="s">
        <v>43</v>
      </c>
      <c r="B4" s="4"/>
      <c r="C4" s="12"/>
      <c r="D4" s="5">
        <f>SUM(C5:C7)</f>
        <v>7675835</v>
      </c>
      <c r="E4" s="12"/>
      <c r="F4" s="5">
        <f>SUM(E5:E7)</f>
        <v>7509673</v>
      </c>
      <c r="G4" s="12"/>
      <c r="H4" s="19">
        <f>SUM(G5:G7)</f>
        <v>7609670</v>
      </c>
      <c r="I4" s="15">
        <f>SUM(H4-D4)/D4</f>
        <v>-8.6199091043515138E-3</v>
      </c>
      <c r="K4" t="s">
        <v>60</v>
      </c>
    </row>
    <row r="5" spans="1:11" ht="15" x14ac:dyDescent="0.2">
      <c r="A5" s="11"/>
      <c r="B5" s="3" t="s">
        <v>38</v>
      </c>
      <c r="C5" s="20">
        <f>6178398-137288-130926-84069-100</f>
        <v>5826015</v>
      </c>
      <c r="D5" s="41"/>
      <c r="E5" s="20">
        <f>6025298-116977-205429+52</f>
        <v>5702944</v>
      </c>
      <c r="F5" s="24"/>
      <c r="G5" s="20">
        <f>6103343-112675-206002</f>
        <v>5784666</v>
      </c>
      <c r="H5" s="32"/>
      <c r="I5" s="16"/>
    </row>
    <row r="6" spans="1:11" ht="15" x14ac:dyDescent="0.2">
      <c r="B6" s="21" t="s">
        <v>39</v>
      </c>
      <c r="C6" s="20">
        <f>1959638-34794-45592-29425-7</f>
        <v>1849820</v>
      </c>
      <c r="D6" s="42"/>
      <c r="E6" s="20">
        <f>1909255-30956-71588+18</f>
        <v>1806729</v>
      </c>
      <c r="F6" s="39"/>
      <c r="G6" s="20">
        <f>1927376-30647-71725</f>
        <v>1825004</v>
      </c>
      <c r="H6" s="39"/>
      <c r="I6" s="16"/>
    </row>
    <row r="7" spans="1:11" ht="15" x14ac:dyDescent="0.2">
      <c r="B7" s="3"/>
      <c r="C7" s="20"/>
      <c r="D7" s="41"/>
      <c r="E7" s="20"/>
      <c r="F7" s="24"/>
      <c r="G7" s="20"/>
      <c r="H7" s="38"/>
      <c r="I7" s="16"/>
    </row>
    <row r="8" spans="1:11" ht="15.75" x14ac:dyDescent="0.25">
      <c r="A8" s="35" t="s">
        <v>44</v>
      </c>
      <c r="B8" s="35"/>
      <c r="C8" s="36"/>
      <c r="D8" s="37">
        <f>SUM(C9:C9)</f>
        <v>6747062</v>
      </c>
      <c r="E8" s="36"/>
      <c r="F8" s="37">
        <f>SUM(E9:E9)</f>
        <v>6801220</v>
      </c>
      <c r="G8" s="36"/>
      <c r="H8" s="37">
        <f>SUM(G9:G9)</f>
        <v>6869930</v>
      </c>
      <c r="I8" s="15">
        <f>SUM(H8-D8)/D8</f>
        <v>1.8210592995884727E-2</v>
      </c>
      <c r="K8" t="s">
        <v>34</v>
      </c>
    </row>
    <row r="9" spans="1:11" ht="15" x14ac:dyDescent="0.2">
      <c r="A9" s="24"/>
      <c r="B9" s="29" t="s">
        <v>35</v>
      </c>
      <c r="C9" s="20">
        <v>6747062</v>
      </c>
      <c r="D9" s="30"/>
      <c r="E9" s="20">
        <v>6801220</v>
      </c>
      <c r="F9" s="30"/>
      <c r="G9" s="20">
        <v>6869930</v>
      </c>
      <c r="H9" s="30"/>
      <c r="I9" s="16"/>
    </row>
    <row r="10" spans="1:11" ht="15" x14ac:dyDescent="0.2">
      <c r="A10" s="2"/>
      <c r="B10" s="22"/>
      <c r="C10" s="20"/>
      <c r="D10" s="31"/>
      <c r="E10" s="20"/>
      <c r="F10" s="24"/>
      <c r="G10" s="27"/>
      <c r="I10" s="16"/>
    </row>
    <row r="11" spans="1:11" ht="15.75" x14ac:dyDescent="0.25">
      <c r="A11" s="4" t="s">
        <v>0</v>
      </c>
      <c r="B11" s="4"/>
      <c r="C11" s="12"/>
      <c r="D11" s="5">
        <f>SUM(C12:C24)</f>
        <v>1441713</v>
      </c>
      <c r="E11" s="12"/>
      <c r="F11" s="5">
        <f>SUM(E12:E24)</f>
        <v>1863039</v>
      </c>
      <c r="G11" s="12"/>
      <c r="H11" s="5">
        <f>SUM(G12:G24)</f>
        <v>2013610</v>
      </c>
      <c r="I11" s="15">
        <f>SUM(H11-D11)/D11</f>
        <v>0.39667881194107285</v>
      </c>
      <c r="K11" t="s">
        <v>61</v>
      </c>
    </row>
    <row r="12" spans="1:11" ht="14.25" x14ac:dyDescent="0.2">
      <c r="B12" s="22" t="s">
        <v>45</v>
      </c>
      <c r="C12" s="34">
        <f>18264-125-1506</f>
        <v>16633</v>
      </c>
      <c r="D12" s="25"/>
      <c r="E12" s="34">
        <v>17699</v>
      </c>
      <c r="F12" s="25"/>
      <c r="G12" s="34">
        <f>26141-90-161</f>
        <v>25890</v>
      </c>
      <c r="H12" s="25"/>
      <c r="I12" s="17"/>
    </row>
    <row r="13" spans="1:11" ht="14.25" x14ac:dyDescent="0.2">
      <c r="B13" s="22" t="s">
        <v>47</v>
      </c>
      <c r="C13" s="34">
        <f>17645</f>
        <v>17645</v>
      </c>
      <c r="D13" s="25"/>
      <c r="E13" s="34">
        <f>32670-20725</f>
        <v>11945</v>
      </c>
      <c r="F13" s="25"/>
      <c r="G13" s="34">
        <v>23906</v>
      </c>
      <c r="H13" s="25"/>
      <c r="I13" s="17"/>
    </row>
    <row r="14" spans="1:11" ht="14.25" x14ac:dyDescent="0.2">
      <c r="B14" s="22" t="s">
        <v>48</v>
      </c>
      <c r="C14" s="34">
        <f>418980-68700-4187</f>
        <v>346093</v>
      </c>
      <c r="D14" s="25"/>
      <c r="E14" s="34">
        <f>433929-62877-2556</f>
        <v>368496</v>
      </c>
      <c r="F14" s="25"/>
      <c r="G14" s="34">
        <f>522161-77975-2421-309</f>
        <v>441456</v>
      </c>
      <c r="H14" s="25"/>
      <c r="I14" s="17"/>
    </row>
    <row r="15" spans="1:11" ht="14.25" x14ac:dyDescent="0.2">
      <c r="B15" s="22" t="s">
        <v>49</v>
      </c>
      <c r="C15" s="34">
        <f>32696-3894</f>
        <v>28802</v>
      </c>
      <c r="D15" s="25"/>
      <c r="E15" s="34">
        <f>28826-5140</f>
        <v>23686</v>
      </c>
      <c r="F15" s="25"/>
      <c r="G15" s="34">
        <f>5376-4792</f>
        <v>584</v>
      </c>
      <c r="H15" s="25"/>
      <c r="I15" s="17"/>
    </row>
    <row r="16" spans="1:11" ht="14.25" x14ac:dyDescent="0.2">
      <c r="B16" s="22" t="s">
        <v>50</v>
      </c>
      <c r="C16" s="34">
        <f>54948-54285</f>
        <v>663</v>
      </c>
      <c r="D16" s="25"/>
      <c r="E16" s="34">
        <f>82090-57501</f>
        <v>24589</v>
      </c>
      <c r="F16" s="25"/>
      <c r="G16" s="34">
        <f>86879-86879</f>
        <v>0</v>
      </c>
      <c r="H16" s="25"/>
      <c r="I16" s="17"/>
    </row>
    <row r="17" spans="1:11" ht="14.25" x14ac:dyDescent="0.2">
      <c r="B17" s="22" t="s">
        <v>51</v>
      </c>
      <c r="C17" s="34">
        <v>-36706</v>
      </c>
      <c r="D17" s="25"/>
      <c r="E17" s="34">
        <v>-33889</v>
      </c>
      <c r="F17" s="25"/>
      <c r="G17" s="34">
        <v>-31202</v>
      </c>
      <c r="H17" s="25"/>
      <c r="I17" s="17"/>
    </row>
    <row r="18" spans="1:11" ht="14.25" x14ac:dyDescent="0.2">
      <c r="B18" s="22" t="s">
        <v>52</v>
      </c>
      <c r="C18" s="34">
        <f>1614151-1475580-4326</f>
        <v>134245</v>
      </c>
      <c r="D18" s="25"/>
      <c r="E18" s="34">
        <f>2084691-2000651</f>
        <v>84040</v>
      </c>
      <c r="F18" s="25"/>
      <c r="G18" s="34">
        <f>-464491+760545</f>
        <v>296054</v>
      </c>
      <c r="H18" s="25"/>
      <c r="I18" s="17"/>
    </row>
    <row r="19" spans="1:11" ht="14.25" x14ac:dyDescent="0.2">
      <c r="B19" s="22" t="s">
        <v>53</v>
      </c>
      <c r="C19" s="34">
        <v>-206</v>
      </c>
      <c r="D19" s="25"/>
      <c r="E19" s="34">
        <f>-34884</f>
        <v>-34884</v>
      </c>
      <c r="F19" s="25"/>
      <c r="G19" s="34">
        <v>-423</v>
      </c>
      <c r="H19" s="25"/>
      <c r="I19" s="17"/>
    </row>
    <row r="20" spans="1:11" ht="14.25" x14ac:dyDescent="0.2">
      <c r="B20" s="22" t="s">
        <v>54</v>
      </c>
      <c r="C20" s="34">
        <f>157352-30-15671</f>
        <v>141651</v>
      </c>
      <c r="D20" s="25"/>
      <c r="E20" s="34">
        <f>113256-5332-5962</f>
        <v>101962</v>
      </c>
      <c r="F20" s="25"/>
      <c r="G20" s="34">
        <f>254391-3178</f>
        <v>251213</v>
      </c>
      <c r="H20" s="25"/>
      <c r="I20" s="17"/>
    </row>
    <row r="21" spans="1:11" ht="14.25" x14ac:dyDescent="0.2">
      <c r="B21" s="22" t="s">
        <v>55</v>
      </c>
      <c r="C21" s="34">
        <f>8651131-5271481-522-85309-2750-17497+17705-728434-1547-2038244</f>
        <v>523052</v>
      </c>
      <c r="D21" s="25"/>
      <c r="E21" s="34">
        <f>9043422-4800570-14399-108602-2750-18440+85-733510-2489-2806079</f>
        <v>556668</v>
      </c>
      <c r="F21" s="25"/>
      <c r="G21" s="34">
        <f>12072756-7630475-893-98244-2750-23288-4131-732114-1563-2687058</f>
        <v>892240</v>
      </c>
      <c r="H21" s="25"/>
      <c r="I21" s="17"/>
    </row>
    <row r="22" spans="1:11" ht="14.25" x14ac:dyDescent="0.2">
      <c r="B22" s="22" t="s">
        <v>56</v>
      </c>
      <c r="C22" s="34">
        <f>164965-360-6128</f>
        <v>158477</v>
      </c>
      <c r="D22" s="25"/>
      <c r="E22" s="34">
        <f>642895-7175</f>
        <v>635720</v>
      </c>
      <c r="F22" s="25"/>
      <c r="G22" s="34">
        <f>30935-10160-5965-226</f>
        <v>14584</v>
      </c>
      <c r="H22" s="25"/>
      <c r="I22" s="17"/>
    </row>
    <row r="23" spans="1:11" ht="14.25" x14ac:dyDescent="0.2">
      <c r="B23" s="22" t="s">
        <v>57</v>
      </c>
      <c r="C23" s="34">
        <f>116123-4167-592</f>
        <v>111364</v>
      </c>
      <c r="D23" s="25"/>
      <c r="E23" s="34">
        <f>111887-4593-287</f>
        <v>107007</v>
      </c>
      <c r="F23" s="25"/>
      <c r="G23" s="34">
        <f>105457-5835-314</f>
        <v>99308</v>
      </c>
      <c r="H23" s="25"/>
      <c r="I23" s="17"/>
    </row>
    <row r="24" spans="1:11" ht="14.25" x14ac:dyDescent="0.2">
      <c r="B24" s="22"/>
      <c r="C24" s="34"/>
      <c r="D24" s="25"/>
      <c r="E24" s="34"/>
      <c r="F24" s="25"/>
      <c r="G24" s="34"/>
      <c r="H24" s="25"/>
      <c r="I24" s="17"/>
    </row>
    <row r="25" spans="1:11" ht="15.75" x14ac:dyDescent="0.25">
      <c r="A25" s="4" t="s">
        <v>30</v>
      </c>
      <c r="B25" s="4"/>
      <c r="C25" s="13"/>
      <c r="D25" s="5">
        <f>SUM(C26:C28)</f>
        <v>2596175.84</v>
      </c>
      <c r="E25" s="13"/>
      <c r="F25" s="5">
        <f>SUM(E26:E28)</f>
        <v>2712058.56</v>
      </c>
      <c r="G25" s="12"/>
      <c r="H25" s="5">
        <f>SUM(G26:G28)</f>
        <v>2641356.7999999998</v>
      </c>
      <c r="I25" s="15">
        <f>SUM(H25-D25)/D25</f>
        <v>1.7402889012325132E-2</v>
      </c>
      <c r="K25" t="s">
        <v>46</v>
      </c>
    </row>
    <row r="26" spans="1:11" ht="14.25" x14ac:dyDescent="0.2">
      <c r="B26" s="22" t="s">
        <v>29</v>
      </c>
      <c r="C26" s="46">
        <v>335788</v>
      </c>
      <c r="D26" s="24"/>
      <c r="E26" s="46">
        <v>334868</v>
      </c>
      <c r="F26" s="33"/>
      <c r="G26" s="46">
        <v>344802</v>
      </c>
      <c r="H26" s="33"/>
      <c r="I26" s="17"/>
      <c r="K26" t="s">
        <v>40</v>
      </c>
    </row>
    <row r="27" spans="1:11" ht="14.25" x14ac:dyDescent="0.2">
      <c r="B27" s="22" t="s">
        <v>4</v>
      </c>
      <c r="C27" s="34">
        <f>250062+728434</f>
        <v>978496</v>
      </c>
      <c r="D27" s="24"/>
      <c r="E27" s="34">
        <f>384942+733510</f>
        <v>1118452</v>
      </c>
      <c r="F27" s="24"/>
      <c r="G27" s="34">
        <f>372680+732114</f>
        <v>1104794</v>
      </c>
      <c r="H27" s="24"/>
      <c r="I27" s="18"/>
      <c r="K27" t="s">
        <v>41</v>
      </c>
    </row>
    <row r="28" spans="1:11" ht="14.25" x14ac:dyDescent="0.2">
      <c r="B28" s="22" t="s">
        <v>2</v>
      </c>
      <c r="C28" s="20">
        <f>2670608*0.48</f>
        <v>1281891.8399999999</v>
      </c>
      <c r="D28" s="24"/>
      <c r="E28" s="20">
        <f>2622372*0.48</f>
        <v>1258738.56</v>
      </c>
      <c r="F28" s="24"/>
      <c r="G28" s="20">
        <f>2482835*0.48</f>
        <v>1191760.8</v>
      </c>
      <c r="H28" s="24"/>
      <c r="I28" s="18"/>
      <c r="K28" t="s">
        <v>42</v>
      </c>
    </row>
    <row r="29" spans="1:11" ht="14.25" x14ac:dyDescent="0.2">
      <c r="B29" s="22"/>
      <c r="C29" s="40"/>
      <c r="D29" s="24"/>
      <c r="E29" s="20"/>
      <c r="F29" s="24"/>
      <c r="G29" s="20"/>
      <c r="H29" s="24"/>
      <c r="I29" s="18"/>
    </row>
    <row r="30" spans="1:11" ht="18" x14ac:dyDescent="0.25">
      <c r="A30" s="8" t="s">
        <v>1</v>
      </c>
      <c r="B30" s="8"/>
      <c r="C30" s="9"/>
      <c r="D30" s="10">
        <f>SUM(D4:D25)</f>
        <v>18460785.84</v>
      </c>
      <c r="E30" s="14"/>
      <c r="F30" s="10">
        <f>SUM(F4:F25)</f>
        <v>18885990.559999999</v>
      </c>
      <c r="G30" s="28"/>
      <c r="H30" s="10">
        <f>SUM(H4:H25)</f>
        <v>19134566.800000001</v>
      </c>
      <c r="I30" s="15">
        <f>SUM(H30-D30)/D30</f>
        <v>3.6497956578862567E-2</v>
      </c>
    </row>
    <row r="32" spans="1:11" x14ac:dyDescent="0.2">
      <c r="B32" t="s">
        <v>8</v>
      </c>
    </row>
    <row r="33" spans="2:2" x14ac:dyDescent="0.2">
      <c r="B33" t="s">
        <v>37</v>
      </c>
    </row>
    <row r="34" spans="2:2" x14ac:dyDescent="0.2">
      <c r="B34" t="s">
        <v>36</v>
      </c>
    </row>
    <row r="35" spans="2:2" x14ac:dyDescent="0.2">
      <c r="B35" t="s">
        <v>33</v>
      </c>
    </row>
    <row r="36" spans="2:2" x14ac:dyDescent="0.2">
      <c r="B36" t="s">
        <v>32</v>
      </c>
    </row>
    <row r="37" spans="2:2" x14ac:dyDescent="0.2">
      <c r="B37" t="s">
        <v>31</v>
      </c>
    </row>
    <row r="38" spans="2:2" x14ac:dyDescent="0.2">
      <c r="B38" t="s">
        <v>28</v>
      </c>
    </row>
    <row r="39" spans="2:2" x14ac:dyDescent="0.2">
      <c r="B39" t="s">
        <v>27</v>
      </c>
    </row>
    <row r="40" spans="2:2" x14ac:dyDescent="0.2">
      <c r="B40" t="s">
        <v>26</v>
      </c>
    </row>
    <row r="41" spans="2:2" x14ac:dyDescent="0.2">
      <c r="B41" t="s">
        <v>25</v>
      </c>
    </row>
    <row r="42" spans="2:2" x14ac:dyDescent="0.2">
      <c r="B42" t="s">
        <v>24</v>
      </c>
    </row>
    <row r="43" spans="2:2" x14ac:dyDescent="0.2">
      <c r="B43" t="s">
        <v>22</v>
      </c>
    </row>
    <row r="44" spans="2:2" x14ac:dyDescent="0.2">
      <c r="B44" t="s">
        <v>21</v>
      </c>
    </row>
    <row r="45" spans="2:2" x14ac:dyDescent="0.2">
      <c r="B45" t="s">
        <v>20</v>
      </c>
    </row>
    <row r="46" spans="2:2" x14ac:dyDescent="0.2">
      <c r="B46" t="s">
        <v>19</v>
      </c>
    </row>
    <row r="47" spans="2:2" x14ac:dyDescent="0.2">
      <c r="B47" t="s">
        <v>18</v>
      </c>
    </row>
    <row r="48" spans="2:2" x14ac:dyDescent="0.2">
      <c r="B48" t="s">
        <v>17</v>
      </c>
    </row>
    <row r="49" spans="2:2" x14ac:dyDescent="0.2">
      <c r="B49" t="s">
        <v>16</v>
      </c>
    </row>
    <row r="50" spans="2:2" x14ac:dyDescent="0.2">
      <c r="B50" t="s">
        <v>14</v>
      </c>
    </row>
    <row r="51" spans="2:2" x14ac:dyDescent="0.2">
      <c r="B51" t="s">
        <v>10</v>
      </c>
    </row>
    <row r="52" spans="2:2" x14ac:dyDescent="0.2">
      <c r="B52" t="s">
        <v>9</v>
      </c>
    </row>
    <row r="55" spans="2:2" x14ac:dyDescent="0.2">
      <c r="B55" t="s">
        <v>7</v>
      </c>
    </row>
    <row r="56" spans="2:2" x14ac:dyDescent="0.2">
      <c r="B56" t="s">
        <v>23</v>
      </c>
    </row>
    <row r="57" spans="2:2" x14ac:dyDescent="0.2">
      <c r="B57" t="s">
        <v>59</v>
      </c>
    </row>
    <row r="58" spans="2:2" x14ac:dyDescent="0.2">
      <c r="B58" t="s">
        <v>66</v>
      </c>
    </row>
    <row r="59" spans="2:2" x14ac:dyDescent="0.2">
      <c r="B59" t="s">
        <v>58</v>
      </c>
    </row>
    <row r="60" spans="2:2" x14ac:dyDescent="0.2">
      <c r="B60" t="s">
        <v>65</v>
      </c>
    </row>
    <row r="61" spans="2:2" x14ac:dyDescent="0.2">
      <c r="B61" t="s">
        <v>13</v>
      </c>
    </row>
    <row r="62" spans="2:2" x14ac:dyDescent="0.2">
      <c r="B62" t="s">
        <v>12</v>
      </c>
    </row>
    <row r="63" spans="2:2" x14ac:dyDescent="0.2">
      <c r="B63" t="s">
        <v>11</v>
      </c>
    </row>
    <row r="64" spans="2:2" x14ac:dyDescent="0.2">
      <c r="B64" t="s">
        <v>64</v>
      </c>
    </row>
  </sheetData>
  <sortState ref="B56:B64">
    <sortCondition ref="B56"/>
  </sortState>
  <printOptions horizontalCentered="1" verticalCentered="1" gridLines="1"/>
  <pageMargins left="0" right="0" top="0.5" bottom="0.25" header="0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FY14-FY16</vt:lpstr>
    </vt:vector>
  </TitlesOfParts>
  <Company>University of Missouri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AlmonyR</dc:creator>
  <cp:lastModifiedBy>Peters, Kathleen L.</cp:lastModifiedBy>
  <cp:lastPrinted>2016-01-05T19:41:46Z</cp:lastPrinted>
  <dcterms:created xsi:type="dcterms:W3CDTF">2004-01-13T21:36:16Z</dcterms:created>
  <dcterms:modified xsi:type="dcterms:W3CDTF">2016-08-17T18:21:22Z</dcterms:modified>
</cp:coreProperties>
</file>